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215" documentId="8_{EB9187E9-D722-47C6-A286-5D644D36BC59}" xr6:coauthVersionLast="47" xr6:coauthVersionMax="47" xr10:uidLastSave="{042FE925-19CE-4D28-897C-7BBEB5D46BBE}"/>
  <bookViews>
    <workbookView xWindow="21975" yWindow="2430" windowWidth="21450" windowHeight="18450" xr2:uid="{DA4586DE-1CFC-464D-ACFB-020290AD6B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C15" i="1"/>
  <c r="C16" i="1" s="1"/>
  <c r="F34" i="1"/>
  <c r="F31" i="1"/>
  <c r="F30" i="1"/>
  <c r="D34" i="1"/>
  <c r="D32" i="1"/>
  <c r="D31" i="1"/>
  <c r="D30" i="1"/>
  <c r="D5" i="1"/>
  <c r="E31" i="1"/>
  <c r="E30" i="1"/>
  <c r="F28" i="1"/>
  <c r="F26" i="1"/>
  <c r="C30" i="1"/>
  <c r="C31" i="1"/>
  <c r="E13" i="1"/>
  <c r="D28" i="1"/>
  <c r="D26" i="1"/>
  <c r="D2" i="1"/>
  <c r="C13" i="1"/>
  <c r="D4" i="1"/>
  <c r="E15" i="1" l="1"/>
  <c r="E16" i="1" s="1"/>
  <c r="D37" i="1"/>
  <c r="E17" i="1"/>
  <c r="F37" i="1" l="1"/>
  <c r="E21" i="1"/>
  <c r="E22" i="1" s="1"/>
  <c r="E23" i="1" s="1"/>
  <c r="E43" i="1" s="1"/>
  <c r="C38" i="1"/>
  <c r="C39" i="1" s="1"/>
  <c r="C21" i="1"/>
  <c r="C22" i="1" s="1"/>
  <c r="C23" i="1" s="1"/>
  <c r="C43" i="1" s="1"/>
  <c r="C17" i="1"/>
  <c r="C40" i="1" l="1"/>
  <c r="E38" i="1"/>
  <c r="E39" i="1" s="1"/>
  <c r="E40" i="1" s="1"/>
</calcChain>
</file>

<file path=xl/sharedStrings.xml><?xml version="1.0" encoding="utf-8"?>
<sst xmlns="http://schemas.openxmlformats.org/spreadsheetml/2006/main" count="36" uniqueCount="36">
  <si>
    <t>Dollarkurs, finansiering</t>
  </si>
  <si>
    <t>Dollarkurs, drift</t>
  </si>
  <si>
    <t>Andel banklån</t>
  </si>
  <si>
    <t>Andel emisjon</t>
  </si>
  <si>
    <t>Andel obligasjonslån, støtteordninger etc</t>
  </si>
  <si>
    <t>Antall nye emisjonsaksjer</t>
  </si>
  <si>
    <t>Utvanning</t>
  </si>
  <si>
    <t>Antall utstedte aksjer i dag</t>
  </si>
  <si>
    <t>Eierandel etter emisjon</t>
  </si>
  <si>
    <t>Rutil, salgspris per tonn (UDFS)</t>
  </si>
  <si>
    <t>Rutil, produksjon per år i tonn (UDFS)</t>
  </si>
  <si>
    <t>Granat, salgspris per tonn (UDFS)</t>
  </si>
  <si>
    <t>Granat, produksjon per år i tonn (UDFS)</t>
  </si>
  <si>
    <t>Driftsparametere</t>
  </si>
  <si>
    <t>Forventet P/E i drift</t>
  </si>
  <si>
    <t>Aksjepris basert på forventet P/E</t>
  </si>
  <si>
    <t>Earnings per Share (EPS)</t>
  </si>
  <si>
    <t>Utbytteberegning</t>
  </si>
  <si>
    <t>Utbytteandel i prosent av overskudd</t>
  </si>
  <si>
    <t>Utbytte per aksje</t>
  </si>
  <si>
    <t>Totalt utbytte for egne aksjer</t>
  </si>
  <si>
    <t>Bad Case</t>
  </si>
  <si>
    <t>Good Case</t>
  </si>
  <si>
    <t>OPEX per run of mine (UDFS)</t>
  </si>
  <si>
    <t>OPEX per tonn solgt (UDFS)</t>
  </si>
  <si>
    <t xml:space="preserve">Antatt andre faste utgifter </t>
  </si>
  <si>
    <t xml:space="preserve">Antatt overskudd per år i driftfase </t>
  </si>
  <si>
    <t>Direkteavkastning</t>
  </si>
  <si>
    <t>Royalty til grunneiere (mineralloven)</t>
  </si>
  <si>
    <t>Emisjonskurs (etter derisk)</t>
  </si>
  <si>
    <t>Dagens kurs (før derisk), verdi på egne aksjer</t>
  </si>
  <si>
    <t>Verdi på beholdning i drift vs før derisk, ex utbytte</t>
  </si>
  <si>
    <t>Kursantakelser, drift</t>
  </si>
  <si>
    <t>Antall egne aksjer i dag / eierandel</t>
  </si>
  <si>
    <t>Totalt investeringsbehov, USD og NOK</t>
  </si>
  <si>
    <t>Beholdningsverdi, egne aksjer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</si>
</sst>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kr&quot;\ * #,##0.00_-;\-&quot;kr&quot;\ * #,##0.00_-;_-&quot;kr&quot;\ * &quot;-&quot;??_-;_-@_-"/>
    <numFmt numFmtId="164" formatCode="_-* #,##0_-;\-* #,##0_-;_-* &quot;-&quot;??_-;_-@_-"/>
    <numFmt numFmtId="165" formatCode="_-[$$-409]* #,##0_ ;_-[$$-409]* \-#,##0\ ;_-[$$-409]* &quot;-&quot;??_ ;_-@_ "/>
    <numFmt numFmtId="166" formatCode="_-&quot;kr&quot;\ * #,##0_-;\-&quot;kr&quot;\ * #,##0_-;_-&quot;kr&quot;\ * &quot;-&quot;??_-;_-@_-"/>
    <numFmt numFmtId="167" formatCode="0.0000\ %"/>
    <numFmt numFmtId="168" formatCode="_-[$kr-414]\ * #,##0_-;\-[$kr-414]\ * #,##0_-;_-[$kr-414]\ * &quot;-&quot;??_-;_-@_-"/>
    <numFmt numFmtId="169" formatCode="0.0\ %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1" tint="0.499984740745262"/>
      </left>
      <right style="thin">
        <color rgb="FF7F7F7F"/>
      </right>
      <top style="medium">
        <color theme="1" tint="0.499984740745262"/>
      </top>
      <bottom style="thin">
        <color rgb="FF7F7F7F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rgb="FF7F7F7F"/>
      </left>
      <right style="medium">
        <color theme="1" tint="0.499984740745262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5" borderId="1" applyNumberFormat="0" applyAlignment="0" applyProtection="0"/>
    <xf numFmtId="0" fontId="7" fillId="4" borderId="1" applyNumberFormat="0" applyAlignment="0"/>
  </cellStyleXfs>
  <cellXfs count="50">
    <xf numFmtId="0" fontId="0" fillId="0" borderId="0" xfId="0"/>
    <xf numFmtId="0" fontId="1" fillId="0" borderId="0" xfId="0" applyFont="1" applyFill="1" applyAlignment="1"/>
    <xf numFmtId="0" fontId="0" fillId="0" borderId="0" xfId="0" applyFill="1"/>
    <xf numFmtId="0" fontId="0" fillId="0" borderId="0" xfId="0" applyBorder="1"/>
    <xf numFmtId="164" fontId="6" fillId="5" borderId="1" xfId="3" applyNumberFormat="1"/>
    <xf numFmtId="164" fontId="7" fillId="4" borderId="1" xfId="4" applyNumberFormat="1"/>
    <xf numFmtId="167" fontId="7" fillId="4" borderId="1" xfId="4" applyNumberFormat="1"/>
    <xf numFmtId="44" fontId="7" fillId="4" borderId="1" xfId="4" applyNumberFormat="1"/>
    <xf numFmtId="166" fontId="7" fillId="4" borderId="1" xfId="4" applyNumberFormat="1"/>
    <xf numFmtId="44" fontId="6" fillId="5" borderId="2" xfId="3" applyNumberFormat="1" applyBorder="1"/>
    <xf numFmtId="0" fontId="0" fillId="0" borderId="3" xfId="0" applyBorder="1"/>
    <xf numFmtId="44" fontId="6" fillId="5" borderId="4" xfId="3" applyNumberFormat="1" applyBorder="1"/>
    <xf numFmtId="0" fontId="0" fillId="0" borderId="5" xfId="0" applyBorder="1"/>
    <xf numFmtId="9" fontId="6" fillId="5" borderId="4" xfId="3" applyNumberFormat="1" applyBorder="1"/>
    <xf numFmtId="9" fontId="7" fillId="4" borderId="4" xfId="4" applyNumberFormat="1" applyBorder="1"/>
    <xf numFmtId="164" fontId="7" fillId="4" borderId="4" xfId="4" applyNumberFormat="1" applyBorder="1"/>
    <xf numFmtId="167" fontId="7" fillId="4" borderId="4" xfId="4" applyNumberFormat="1" applyBorder="1"/>
    <xf numFmtId="0" fontId="0" fillId="0" borderId="6" xfId="0" applyBorder="1"/>
    <xf numFmtId="0" fontId="6" fillId="5" borderId="4" xfId="3" applyBorder="1"/>
    <xf numFmtId="44" fontId="7" fillId="4" borderId="4" xfId="4" applyNumberFormat="1" applyBorder="1"/>
    <xf numFmtId="166" fontId="7" fillId="4" borderId="4" xfId="4" applyNumberFormat="1" applyBorder="1"/>
    <xf numFmtId="165" fontId="6" fillId="5" borderId="4" xfId="3" applyNumberFormat="1" applyBorder="1"/>
    <xf numFmtId="168" fontId="7" fillId="4" borderId="7" xfId="4" applyNumberFormat="1" applyBorder="1" applyAlignment="1">
      <alignment horizontal="center"/>
    </xf>
    <xf numFmtId="164" fontId="6" fillId="5" borderId="4" xfId="3" applyNumberFormat="1" applyBorder="1"/>
    <xf numFmtId="168" fontId="7" fillId="4" borderId="7" xfId="4" applyNumberFormat="1" applyBorder="1" applyAlignment="1">
      <alignment horizontal="left"/>
    </xf>
    <xf numFmtId="166" fontId="7" fillId="4" borderId="7" xfId="4" applyNumberFormat="1" applyBorder="1"/>
    <xf numFmtId="169" fontId="6" fillId="5" borderId="4" xfId="3" applyNumberFormat="1" applyBorder="1"/>
    <xf numFmtId="166" fontId="0" fillId="0" borderId="6" xfId="0" applyNumberFormat="1" applyBorder="1"/>
    <xf numFmtId="166" fontId="6" fillId="5" borderId="7" xfId="3" applyNumberFormat="1" applyBorder="1"/>
    <xf numFmtId="168" fontId="0" fillId="0" borderId="6" xfId="0" applyNumberFormat="1" applyBorder="1"/>
    <xf numFmtId="0" fontId="0" fillId="0" borderId="3" xfId="0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4" fillId="0" borderId="0" xfId="0" applyFont="1" applyBorder="1"/>
    <xf numFmtId="166" fontId="7" fillId="4" borderId="1" xfId="4" applyNumberFormat="1" applyBorder="1"/>
    <xf numFmtId="44" fontId="7" fillId="4" borderId="1" xfId="4" applyNumberFormat="1" applyBorder="1"/>
    <xf numFmtId="10" fontId="7" fillId="4" borderId="4" xfId="4" applyNumberFormat="1" applyBorder="1"/>
    <xf numFmtId="10" fontId="7" fillId="4" borderId="1" xfId="4" applyNumberFormat="1" applyBorder="1"/>
    <xf numFmtId="166" fontId="7" fillId="4" borderId="9" xfId="4" applyNumberFormat="1" applyBorder="1"/>
    <xf numFmtId="9" fontId="6" fillId="5" borderId="8" xfId="3" applyNumberFormat="1" applyBorder="1"/>
    <xf numFmtId="0" fontId="8" fillId="0" borderId="0" xfId="0" applyFont="1" applyBorder="1" applyAlignment="1">
      <alignment horizontal="right" indent="1"/>
    </xf>
    <xf numFmtId="165" fontId="7" fillId="4" borderId="1" xfId="4" applyNumberFormat="1"/>
    <xf numFmtId="9" fontId="7" fillId="4" borderId="11" xfId="4" applyNumberFormat="1" applyBorder="1"/>
    <xf numFmtId="9" fontId="7" fillId="4" borderId="12" xfId="4" applyNumberFormat="1" applyBorder="1"/>
    <xf numFmtId="0" fontId="0" fillId="0" borderId="10" xfId="0" applyBorder="1"/>
    <xf numFmtId="0" fontId="3" fillId="3" borderId="0" xfId="2" applyBorder="1" applyAlignment="1">
      <alignment horizontal="center"/>
    </xf>
    <xf numFmtId="0" fontId="2" fillId="2" borderId="0" xfId="1" applyBorder="1" applyAlignment="1">
      <alignment horizontal="center"/>
    </xf>
  </cellXfs>
  <cellStyles count="5">
    <cellStyle name="Bad" xfId="2" builtinId="27"/>
    <cellStyle name="Calculation" xfId="4" builtinId="22" customBuiltin="1"/>
    <cellStyle name="Good" xfId="1" builtinId="26"/>
    <cellStyle name="Input" xfId="3" builtinId="20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899B-218A-471A-80BA-E56A050315DC}">
  <dimension ref="B2:H50"/>
  <sheetViews>
    <sheetView tabSelected="1" workbookViewId="0">
      <selection activeCell="I24" sqref="I24"/>
    </sheetView>
  </sheetViews>
  <sheetFormatPr defaultRowHeight="15" x14ac:dyDescent="0.25"/>
  <cols>
    <col min="2" max="2" width="48.140625" bestFit="1" customWidth="1"/>
    <col min="3" max="3" width="17.28515625" bestFit="1" customWidth="1"/>
    <col min="4" max="4" width="18.7109375" bestFit="1" customWidth="1"/>
    <col min="5" max="5" width="14.5703125" bestFit="1" customWidth="1"/>
    <col min="6" max="6" width="17.42578125" customWidth="1"/>
    <col min="7" max="7" width="17.7109375" customWidth="1"/>
    <col min="8" max="8" width="14.5703125" bestFit="1" customWidth="1"/>
  </cols>
  <sheetData>
    <row r="2" spans="2:8" x14ac:dyDescent="0.25">
      <c r="B2" s="31" t="s">
        <v>33</v>
      </c>
      <c r="C2" s="4">
        <v>500000</v>
      </c>
      <c r="D2" s="6">
        <f>C2/C3</f>
        <v>2.1787273488829044E-3</v>
      </c>
    </row>
    <row r="3" spans="2:8" x14ac:dyDescent="0.25">
      <c r="B3" s="31" t="s">
        <v>7</v>
      </c>
      <c r="C3" s="5">
        <v>229491772</v>
      </c>
    </row>
    <row r="4" spans="2:8" x14ac:dyDescent="0.25">
      <c r="B4" s="31" t="s">
        <v>34</v>
      </c>
      <c r="C4" s="44">
        <v>218000000</v>
      </c>
      <c r="D4" s="8">
        <f>C4*C9</f>
        <v>1962000000</v>
      </c>
    </row>
    <row r="5" spans="2:8" x14ac:dyDescent="0.25">
      <c r="B5" s="31" t="s">
        <v>30</v>
      </c>
      <c r="C5" s="7">
        <v>3</v>
      </c>
      <c r="D5" s="8">
        <f>C2*C5</f>
        <v>1500000</v>
      </c>
    </row>
    <row r="6" spans="2:8" x14ac:dyDescent="0.25">
      <c r="B6" s="32"/>
    </row>
    <row r="7" spans="2:8" x14ac:dyDescent="0.25">
      <c r="B7" s="32"/>
      <c r="G7" s="2"/>
      <c r="H7" s="2"/>
    </row>
    <row r="8" spans="2:8" ht="15.75" thickBot="1" x14ac:dyDescent="0.3">
      <c r="B8" s="33"/>
      <c r="C8" s="48" t="s">
        <v>21</v>
      </c>
      <c r="D8" s="48"/>
      <c r="E8" s="49" t="s">
        <v>22</v>
      </c>
      <c r="F8" s="49"/>
      <c r="G8" s="1"/>
      <c r="H8" s="1"/>
    </row>
    <row r="9" spans="2:8" x14ac:dyDescent="0.25">
      <c r="B9" s="34" t="s">
        <v>0</v>
      </c>
      <c r="C9" s="9">
        <v>9</v>
      </c>
      <c r="D9" s="10"/>
      <c r="E9" s="9">
        <v>8.9</v>
      </c>
      <c r="F9" s="30"/>
      <c r="H9" s="2"/>
    </row>
    <row r="10" spans="2:8" x14ac:dyDescent="0.25">
      <c r="B10" s="34" t="s">
        <v>1</v>
      </c>
      <c r="C10" s="11">
        <v>8.5</v>
      </c>
      <c r="D10" s="12"/>
      <c r="E10" s="11">
        <v>9</v>
      </c>
      <c r="F10" s="12"/>
    </row>
    <row r="11" spans="2:8" x14ac:dyDescent="0.25">
      <c r="B11" s="34" t="s">
        <v>2</v>
      </c>
      <c r="C11" s="13">
        <v>0.5</v>
      </c>
      <c r="D11" s="12"/>
      <c r="E11" s="13">
        <v>0.6</v>
      </c>
      <c r="F11" s="12"/>
    </row>
    <row r="12" spans="2:8" x14ac:dyDescent="0.25">
      <c r="B12" s="34" t="s">
        <v>4</v>
      </c>
      <c r="C12" s="13">
        <v>0</v>
      </c>
      <c r="D12" s="12"/>
      <c r="E12" s="13">
        <v>0.1</v>
      </c>
      <c r="F12" s="12"/>
    </row>
    <row r="13" spans="2:8" x14ac:dyDescent="0.25">
      <c r="B13" s="34" t="s">
        <v>3</v>
      </c>
      <c r="C13" s="14">
        <f>1-C12-C11</f>
        <v>0.5</v>
      </c>
      <c r="D13" s="12"/>
      <c r="E13" s="14">
        <f>1-E12-E11</f>
        <v>0.30000000000000004</v>
      </c>
      <c r="F13" s="12"/>
    </row>
    <row r="14" spans="2:8" x14ac:dyDescent="0.25">
      <c r="B14" s="34" t="s">
        <v>29</v>
      </c>
      <c r="C14" s="11">
        <v>4</v>
      </c>
      <c r="D14" s="12"/>
      <c r="E14" s="11">
        <v>6.5</v>
      </c>
      <c r="F14" s="12"/>
    </row>
    <row r="15" spans="2:8" x14ac:dyDescent="0.25">
      <c r="B15" s="34" t="s">
        <v>5</v>
      </c>
      <c r="C15" s="15">
        <f>$D$4*C13/C14</f>
        <v>245250000</v>
      </c>
      <c r="D15" s="12"/>
      <c r="E15" s="15">
        <f>$D$4*E13/E14</f>
        <v>90553846.153846174</v>
      </c>
      <c r="F15" s="12"/>
    </row>
    <row r="16" spans="2:8" x14ac:dyDescent="0.25">
      <c r="B16" s="34" t="s">
        <v>6</v>
      </c>
      <c r="C16" s="14">
        <f>1-($C$3/($C$3+C15))</f>
        <v>0.51659663097857755</v>
      </c>
      <c r="D16" s="12"/>
      <c r="E16" s="14">
        <f>1-$C$3/($C$3+E15)</f>
        <v>0.28294043416747183</v>
      </c>
      <c r="F16" s="12"/>
    </row>
    <row r="17" spans="2:6" x14ac:dyDescent="0.25">
      <c r="B17" s="34" t="s">
        <v>8</v>
      </c>
      <c r="C17" s="16">
        <f>$C$2/($C$3+C15)</f>
        <v>1.0532041406291083E-3</v>
      </c>
      <c r="D17" s="12"/>
      <c r="E17" s="16">
        <f>$C$2/($C$3+E15)</f>
        <v>1.5622772868574305E-3</v>
      </c>
      <c r="F17" s="12"/>
    </row>
    <row r="18" spans="2:6" x14ac:dyDescent="0.25">
      <c r="B18" s="34"/>
      <c r="C18" s="17"/>
      <c r="D18" s="12"/>
      <c r="E18" s="17"/>
      <c r="F18" s="12"/>
    </row>
    <row r="19" spans="2:6" x14ac:dyDescent="0.25">
      <c r="B19" s="35" t="s">
        <v>32</v>
      </c>
      <c r="C19" s="17"/>
      <c r="D19" s="12"/>
      <c r="E19" s="17"/>
      <c r="F19" s="12"/>
    </row>
    <row r="20" spans="2:6" x14ac:dyDescent="0.25">
      <c r="B20" s="34" t="s">
        <v>14</v>
      </c>
      <c r="C20" s="18">
        <v>8</v>
      </c>
      <c r="D20" s="12"/>
      <c r="E20" s="18">
        <v>12</v>
      </c>
      <c r="F20" s="12"/>
    </row>
    <row r="21" spans="2:6" x14ac:dyDescent="0.25">
      <c r="B21" s="34" t="s">
        <v>16</v>
      </c>
      <c r="C21" s="19">
        <f>D34/(C15+$C$3)</f>
        <v>0.91312798992543676</v>
      </c>
      <c r="D21" s="12"/>
      <c r="E21" s="19">
        <f>F34/(E15+$C$3)</f>
        <v>2.0911480255864179</v>
      </c>
      <c r="F21" s="12"/>
    </row>
    <row r="22" spans="2:6" x14ac:dyDescent="0.25">
      <c r="B22" s="34" t="s">
        <v>15</v>
      </c>
      <c r="C22" s="19">
        <f>C20*C21</f>
        <v>7.305023919403494</v>
      </c>
      <c r="D22" s="12"/>
      <c r="E22" s="19">
        <f>E20*E21</f>
        <v>25.093776307037015</v>
      </c>
      <c r="F22" s="12"/>
    </row>
    <row r="23" spans="2:6" x14ac:dyDescent="0.25">
      <c r="B23" s="34" t="s">
        <v>35</v>
      </c>
      <c r="C23" s="20">
        <f>C22*$C$2</f>
        <v>3652511.9597017472</v>
      </c>
      <c r="D23" s="12"/>
      <c r="E23" s="20">
        <f>E22*$C$2</f>
        <v>12546888.153518507</v>
      </c>
      <c r="F23" s="12"/>
    </row>
    <row r="24" spans="2:6" x14ac:dyDescent="0.25">
      <c r="B24" s="34"/>
      <c r="C24" s="17"/>
      <c r="D24" s="12"/>
      <c r="E24" s="17"/>
      <c r="F24" s="12"/>
    </row>
    <row r="25" spans="2:6" x14ac:dyDescent="0.25">
      <c r="B25" s="35" t="s">
        <v>13</v>
      </c>
      <c r="C25" s="17"/>
      <c r="D25" s="12"/>
      <c r="E25" s="17"/>
      <c r="F25" s="12"/>
    </row>
    <row r="26" spans="2:6" x14ac:dyDescent="0.25">
      <c r="B26" s="34" t="s">
        <v>9</v>
      </c>
      <c r="C26" s="21">
        <v>1179</v>
      </c>
      <c r="D26" s="22">
        <f>C26*C10*C27</f>
        <v>350752500</v>
      </c>
      <c r="E26" s="21">
        <v>1800</v>
      </c>
      <c r="F26" s="22">
        <f>E26*E10*E27</f>
        <v>567000000</v>
      </c>
    </row>
    <row r="27" spans="2:6" x14ac:dyDescent="0.25">
      <c r="B27" s="34" t="s">
        <v>10</v>
      </c>
      <c r="C27" s="23">
        <v>35000</v>
      </c>
      <c r="D27" s="22"/>
      <c r="E27" s="23">
        <v>35000</v>
      </c>
      <c r="F27" s="22"/>
    </row>
    <row r="28" spans="2:6" x14ac:dyDescent="0.25">
      <c r="B28" s="34" t="s">
        <v>11</v>
      </c>
      <c r="C28" s="21">
        <v>230</v>
      </c>
      <c r="D28" s="24">
        <f>C28*C10*C29</f>
        <v>351900000</v>
      </c>
      <c r="E28" s="21">
        <v>230</v>
      </c>
      <c r="F28" s="24">
        <f>E28*E10*E29</f>
        <v>372600000</v>
      </c>
    </row>
    <row r="29" spans="2:6" x14ac:dyDescent="0.25">
      <c r="B29" s="34" t="s">
        <v>12</v>
      </c>
      <c r="C29" s="23">
        <v>180000</v>
      </c>
      <c r="D29" s="24"/>
      <c r="E29" s="23">
        <v>180000</v>
      </c>
      <c r="F29" s="24"/>
    </row>
    <row r="30" spans="2:6" x14ac:dyDescent="0.25">
      <c r="B30" s="43" t="s">
        <v>23</v>
      </c>
      <c r="C30" s="11">
        <f>14.4*8.5</f>
        <v>122.4</v>
      </c>
      <c r="D30" s="25">
        <f>-C30*(C27+C29)</f>
        <v>-26316000</v>
      </c>
      <c r="E30" s="11">
        <f>14.4*8.5</f>
        <v>122.4</v>
      </c>
      <c r="F30" s="25">
        <f>-E30*(E27+E29)</f>
        <v>-26316000</v>
      </c>
    </row>
    <row r="31" spans="2:6" x14ac:dyDescent="0.25">
      <c r="B31" s="43" t="s">
        <v>24</v>
      </c>
      <c r="C31" s="11">
        <f>95.9*8.5</f>
        <v>815.15000000000009</v>
      </c>
      <c r="D31" s="25">
        <f>-C31*(C27+C29)</f>
        <v>-175257250.00000003</v>
      </c>
      <c r="E31" s="11">
        <f>95.9*8.5</f>
        <v>815.15000000000009</v>
      </c>
      <c r="F31" s="25">
        <f>-E31*(E27+E29)</f>
        <v>-175257250.00000003</v>
      </c>
    </row>
    <row r="32" spans="2:6" x14ac:dyDescent="0.25">
      <c r="B32" s="43" t="s">
        <v>28</v>
      </c>
      <c r="C32" s="26">
        <v>5.0000000000000001E-3</v>
      </c>
      <c r="D32" s="25">
        <f>-C32*(D26+D28)</f>
        <v>-3513262.5</v>
      </c>
      <c r="E32" s="26">
        <v>5.0000000000000001E-3</v>
      </c>
      <c r="F32" s="25">
        <f>-E32*(F26+F28)</f>
        <v>-4698000</v>
      </c>
    </row>
    <row r="33" spans="2:6" x14ac:dyDescent="0.25">
      <c r="B33" s="43" t="s">
        <v>25</v>
      </c>
      <c r="C33" s="27"/>
      <c r="D33" s="28">
        <v>-64065987.5</v>
      </c>
      <c r="E33" s="27"/>
      <c r="F33" s="28">
        <v>-64065987.5</v>
      </c>
    </row>
    <row r="34" spans="2:6" x14ac:dyDescent="0.25">
      <c r="B34" s="34" t="s">
        <v>26</v>
      </c>
      <c r="C34" s="29"/>
      <c r="D34" s="25">
        <f>SUM(D26:D33)</f>
        <v>433500000</v>
      </c>
      <c r="E34" s="29"/>
      <c r="F34" s="25">
        <f>SUM(F26:F33)</f>
        <v>669262762.5</v>
      </c>
    </row>
    <row r="35" spans="2:6" x14ac:dyDescent="0.25">
      <c r="B35" s="34"/>
      <c r="C35" s="17"/>
      <c r="D35" s="12"/>
      <c r="E35" s="17"/>
      <c r="F35" s="12"/>
    </row>
    <row r="36" spans="2:6" x14ac:dyDescent="0.25">
      <c r="B36" s="35" t="s">
        <v>17</v>
      </c>
      <c r="C36" s="17"/>
      <c r="D36" s="12"/>
      <c r="E36" s="17"/>
      <c r="F36" s="12"/>
    </row>
    <row r="37" spans="2:6" x14ac:dyDescent="0.25">
      <c r="B37" s="34" t="s">
        <v>18</v>
      </c>
      <c r="C37" s="13">
        <v>0.5</v>
      </c>
      <c r="D37" s="41">
        <f>D34*C37</f>
        <v>216750000</v>
      </c>
      <c r="E37" s="42">
        <v>0.7</v>
      </c>
      <c r="F37" s="25">
        <f>F34*E37</f>
        <v>468483933.75</v>
      </c>
    </row>
    <row r="38" spans="2:6" x14ac:dyDescent="0.25">
      <c r="B38" s="34" t="s">
        <v>19</v>
      </c>
      <c r="C38" s="19">
        <f>D37/($C$3+C15)</f>
        <v>0.45656399496271838</v>
      </c>
      <c r="D38" s="12"/>
      <c r="E38" s="38">
        <f>F37/($C$3+E15)</f>
        <v>1.4638036179104925</v>
      </c>
      <c r="F38" s="12"/>
    </row>
    <row r="39" spans="2:6" x14ac:dyDescent="0.25">
      <c r="B39" s="34" t="s">
        <v>20</v>
      </c>
      <c r="C39" s="20">
        <f>C38*$C$2</f>
        <v>228281.9974813592</v>
      </c>
      <c r="D39" s="12"/>
      <c r="E39" s="37">
        <f>E38*$C$2</f>
        <v>731901.80895524623</v>
      </c>
      <c r="F39" s="12"/>
    </row>
    <row r="40" spans="2:6" x14ac:dyDescent="0.25">
      <c r="B40" s="34" t="s">
        <v>27</v>
      </c>
      <c r="C40" s="39">
        <f>C39/C23</f>
        <v>6.25E-2</v>
      </c>
      <c r="D40" s="12"/>
      <c r="E40" s="40">
        <f>E39/E23</f>
        <v>5.8333333333333334E-2</v>
      </c>
      <c r="F40" s="12"/>
    </row>
    <row r="41" spans="2:6" x14ac:dyDescent="0.25">
      <c r="B41" s="36"/>
      <c r="C41" s="17"/>
      <c r="D41" s="12"/>
      <c r="E41" s="17"/>
      <c r="F41" s="12"/>
    </row>
    <row r="42" spans="2:6" x14ac:dyDescent="0.25">
      <c r="B42" s="36"/>
      <c r="C42" s="17"/>
      <c r="D42" s="12"/>
      <c r="E42" s="17"/>
      <c r="F42" s="12"/>
    </row>
    <row r="43" spans="2:6" ht="15.75" thickBot="1" x14ac:dyDescent="0.3">
      <c r="B43" s="34" t="s">
        <v>31</v>
      </c>
      <c r="C43" s="45">
        <f>C23/$D$5</f>
        <v>2.435007973134498</v>
      </c>
      <c r="D43" s="12"/>
      <c r="E43" s="46">
        <f>E23/$D$5</f>
        <v>8.3645921023456715</v>
      </c>
      <c r="F43" s="12"/>
    </row>
    <row r="44" spans="2:6" x14ac:dyDescent="0.25">
      <c r="B44" s="3"/>
      <c r="C44" s="47"/>
      <c r="D44" s="47"/>
      <c r="E44" s="47"/>
      <c r="F44" s="47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</sheetData>
  <mergeCells count="2">
    <mergeCell ref="C8:D8"/>
    <mergeCell ref="E8:F8"/>
  </mergeCells>
  <pageMargins left="0.7" right="0.7" top="0.75" bottom="0.75" header="0.3" footer="0.3"/>
  <pageSetup paperSize="9" orientation="portrait" r:id="rId1"/>
  <ignoredErrors>
    <ignoredError sqref="D30:D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2021-12-16T12:33:59Z</dcterms:created>
  <dcterms:modified xsi:type="dcterms:W3CDTF">2021-12-16T14:21:04Z</dcterms:modified>
</cp:coreProperties>
</file>